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76" yWindow="624" windowWidth="22404" windowHeight="9528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09" i="1"/>
  <c r="D103"/>
  <c r="D104" s="1"/>
  <c r="D98"/>
  <c r="D97"/>
  <c r="N164"/>
  <c r="S157"/>
  <c r="J74"/>
  <c r="J68"/>
  <c r="J60"/>
  <c r="J87"/>
  <c r="C119"/>
  <c r="O150"/>
  <c r="C15"/>
  <c r="I68"/>
  <c r="F83"/>
  <c r="F80"/>
  <c r="N126" l="1"/>
  <c r="C141" l="1"/>
  <c r="C137"/>
  <c r="E127"/>
  <c r="E126"/>
  <c r="C126"/>
  <c r="I121"/>
  <c r="L121" s="1"/>
  <c r="J90"/>
  <c r="I87"/>
  <c r="K82"/>
  <c r="F17"/>
  <c r="H74"/>
  <c r="I60"/>
  <c r="C24"/>
  <c r="G52"/>
  <c r="G51"/>
  <c r="G50"/>
  <c r="C122" l="1"/>
  <c r="C123" s="1"/>
  <c r="I126"/>
  <c r="I129" s="1"/>
  <c r="C129" s="1"/>
  <c r="I86"/>
  <c r="F42" l="1"/>
  <c r="C17"/>
  <c r="C8"/>
</calcChain>
</file>

<file path=xl/sharedStrings.xml><?xml version="1.0" encoding="utf-8"?>
<sst xmlns="http://schemas.openxmlformats.org/spreadsheetml/2006/main" count="263" uniqueCount="187">
  <si>
    <t>Lab1</t>
  </si>
  <si>
    <t>Dimensions of the clear plastic rectangular box (Report in hundredths of a centimeter): </t>
  </si>
  <si>
    <t>Volume of the clear plastic rectangular box (Report with 3 signficant figures):</t>
  </si>
  <si>
    <t>Lab 1 Part 3: Volume by Liquid transfer</t>
  </si>
  <si>
    <t>Volume of the glass test tube in the kit (To the nearest hundredth of a mL):</t>
  </si>
  <si>
    <t>Lab 1 Part 4: Volume by Liquid displacement</t>
  </si>
  <si>
    <t>Volume of the glass used to make the test tube (to the nearest tenth of a mL).</t>
  </si>
  <si>
    <t>Lab 1 Part 5: Average weight of a penny</t>
  </si>
  <si>
    <t>Mass of Penny #1: </t>
  </si>
  <si>
    <t>Mass of Penny #2:</t>
  </si>
  <si>
    <t>Mass of Penny #3:</t>
  </si>
  <si>
    <t>Mass of Penny #4:</t>
  </si>
  <si>
    <t>Mass of Penny #5:</t>
  </si>
  <si>
    <t>Total of the above penny masses:</t>
  </si>
  <si>
    <t>Average mass of one penny (to 3 significant figures): </t>
  </si>
  <si>
    <t>Mass of all 5 pennies measured together:</t>
  </si>
  <si>
    <t>Average mass of one penny (to 3 significant figures):</t>
  </si>
  <si>
    <t>Lab 1 Part 6: Mass of an ancient coin</t>
  </si>
  <si>
    <t>Mass in grams:</t>
  </si>
  <si>
    <t>Mass in avoirdupois ounces:</t>
  </si>
  <si>
    <t>Mass in troy ounces:</t>
  </si>
  <si>
    <t>Lab 1 Part 6:  Room and water temperatures</t>
  </si>
  <si>
    <t>Inside air temperature in °C and °F:</t>
  </si>
  <si>
    <t>Cold tap water temperature in °C and °F:</t>
  </si>
  <si>
    <t>cm height</t>
  </si>
  <si>
    <t>cm radius</t>
  </si>
  <si>
    <t>pi r2 x h</t>
  </si>
  <si>
    <t>Should be around 9 mL</t>
  </si>
  <si>
    <t>Should be around 5 mL</t>
  </si>
  <si>
    <t>Hot tap water temperature in °C and °F:</t>
  </si>
  <si>
    <t>Lab 2: TDS</t>
  </si>
  <si>
    <t>Tap Water:</t>
  </si>
  <si>
    <r>
      <t xml:space="preserve">1. Temperature of your cold tap water: </t>
    </r>
    <r>
      <rPr>
        <sz val="11"/>
        <color rgb="FFFF0000"/>
        <rFont val="Calibri"/>
        <family val="2"/>
        <scheme val="minor"/>
      </rPr>
      <t>27.0 degrees Celsius</t>
    </r>
  </si>
  <si>
    <r>
      <t xml:space="preserve">2. TDS reading for cold tap water: </t>
    </r>
    <r>
      <rPr>
        <sz val="11"/>
        <color rgb="FFFF0000"/>
        <rFont val="Calibri"/>
        <family val="2"/>
        <scheme val="minor"/>
      </rPr>
      <t>538 PPM</t>
    </r>
  </si>
  <si>
    <r>
      <t xml:space="preserve">3. TDS reading of cold tap water corrected for temperature difference (calculated): </t>
    </r>
    <r>
      <rPr>
        <sz val="11"/>
        <color rgb="FFFF0000"/>
        <rFont val="Calibri"/>
        <family val="2"/>
        <scheme val="minor"/>
      </rPr>
      <t>20.40 PPM</t>
    </r>
  </si>
  <si>
    <r>
      <t xml:space="preserve">4. What category does your water fall into according to the chart?  </t>
    </r>
    <r>
      <rPr>
        <sz val="11"/>
        <color rgb="FFFF0000"/>
        <rFont val="Calibri"/>
        <family val="2"/>
        <scheme val="minor"/>
      </rPr>
      <t>It falls in to 0-50 PPM which is ideal drinking water.</t>
    </r>
  </si>
  <si>
    <t>Beverage:</t>
  </si>
  <si>
    <r>
      <t xml:space="preserve">1. What beverage did you check? </t>
    </r>
    <r>
      <rPr>
        <sz val="11"/>
        <color rgb="FFFF0000"/>
        <rFont val="Calibri"/>
        <family val="2"/>
        <scheme val="minor"/>
      </rPr>
      <t>Beer</t>
    </r>
  </si>
  <si>
    <r>
      <t xml:space="preserve">2. Temperature of the beverage: </t>
    </r>
    <r>
      <rPr>
        <sz val="11"/>
        <color rgb="FFFF0000"/>
        <rFont val="Calibri"/>
        <family val="2"/>
        <scheme val="minor"/>
      </rPr>
      <t>15.5 degrees Celsius</t>
    </r>
  </si>
  <si>
    <r>
      <t xml:space="preserve">3. TDS value of the beverage: </t>
    </r>
    <r>
      <rPr>
        <sz val="11"/>
        <color rgb="FFFF0000"/>
        <rFont val="Calibri"/>
        <family val="2"/>
        <scheme val="minor"/>
      </rPr>
      <t>441 PPM</t>
    </r>
  </si>
  <si>
    <r>
      <t xml:space="preserve">4. TDS value of beverage corrected for temperature difference (calculated): </t>
    </r>
    <r>
      <rPr>
        <sz val="11"/>
        <color rgb="FFFF0000"/>
        <rFont val="Calibri"/>
        <family val="2"/>
        <scheme val="minor"/>
      </rPr>
      <t>48.29 PPM</t>
    </r>
  </si>
  <si>
    <r>
      <t>5. Attach camera image of you holding the beverage or send it separately.</t>
    </r>
    <r>
      <rPr>
        <sz val="11"/>
        <color rgb="FFFF0000"/>
        <rFont val="Calibri"/>
        <family val="2"/>
        <scheme val="minor"/>
      </rPr>
      <t xml:space="preserve"> I'll send separately</t>
    </r>
  </si>
  <si>
    <t>Saguaro Lake water:</t>
  </si>
  <si>
    <r>
      <t xml:space="preserve">1. Temperature of Saguaro Lake water: </t>
    </r>
    <r>
      <rPr>
        <sz val="11"/>
        <color rgb="FFFF0000"/>
        <rFont val="Calibri"/>
        <family val="2"/>
        <scheme val="minor"/>
      </rPr>
      <t>28.0 degrees Celsius</t>
    </r>
  </si>
  <si>
    <r>
      <t xml:space="preserve">2. TDS value of Saguaro Lake water: </t>
    </r>
    <r>
      <rPr>
        <sz val="11"/>
        <color rgb="FFFF0000"/>
        <rFont val="Calibri"/>
        <family val="2"/>
        <scheme val="minor"/>
      </rPr>
      <t>690 PPM</t>
    </r>
  </si>
  <si>
    <r>
      <t xml:space="preserve">3. TDS value corrected for Saguaro Lake water (calculated): </t>
    </r>
    <r>
      <rPr>
        <sz val="11"/>
        <color rgb="FFFF0000"/>
        <rFont val="Calibri"/>
        <family val="2"/>
        <scheme val="minor"/>
      </rPr>
      <t>65.10 PPM</t>
    </r>
  </si>
  <si>
    <t>Gravimetric method for finding TDS:</t>
  </si>
  <si>
    <r>
      <t xml:space="preserve">8. Attach or send camera image of the alcohol burner setup: </t>
    </r>
    <r>
      <rPr>
        <sz val="11"/>
        <color rgb="FFFF0000"/>
        <rFont val="Calibri"/>
        <family val="2"/>
        <scheme val="minor"/>
      </rPr>
      <t>sent separately</t>
    </r>
  </si>
  <si>
    <r>
      <t xml:space="preserve">9. Attach or send camera image of your salt &amp; sugar residue in the metal can: </t>
    </r>
    <r>
      <rPr>
        <sz val="11"/>
        <color rgb="FFFF0000"/>
        <rFont val="Calibri"/>
        <family val="2"/>
        <scheme val="minor"/>
      </rPr>
      <t>sent separately</t>
    </r>
  </si>
  <si>
    <t>degrees</t>
  </si>
  <si>
    <t>ppm</t>
  </si>
  <si>
    <t>grams residue</t>
  </si>
  <si>
    <t>grams of solution</t>
  </si>
  <si>
    <t>4. Convert this volume into fluid ounces using the conversion factor given in the lab instructions (report to 3 significant figures):</t>
  </si>
  <si>
    <t>3. Calculated volume of the 100mL graduated cylinder (to nearest hundredth of a mL):</t>
  </si>
  <si>
    <t>2. Distance from the bottom of the graduated cylinder to the 100 mL mark in centimeters:</t>
  </si>
  <si>
    <t>1. Radius of the graduated cylinder in centimeters (to the nearest hundred of a centimeter):</t>
  </si>
  <si>
    <t>a) Lab 1 Part 1: Volume by Geometry</t>
  </si>
  <si>
    <t>b) Lab 1 Part 2: Volume by Geometry</t>
  </si>
  <si>
    <t>fluid ounces</t>
  </si>
  <si>
    <t>5. Radius of the funnel in your kit in millimeters:</t>
  </si>
  <si>
    <t>6. Height of the funnel in millimeters:</t>
  </si>
  <si>
    <t>mm</t>
  </si>
  <si>
    <t>7. Volume of the funnel in cubic centimeters (mL):</t>
  </si>
  <si>
    <t>°F</t>
  </si>
  <si>
    <t>°C</t>
  </si>
  <si>
    <t>mm3</t>
  </si>
  <si>
    <t>ppm corrected</t>
  </si>
  <si>
    <t>grams final</t>
  </si>
  <si>
    <t>grams</t>
  </si>
  <si>
    <t>mL</t>
  </si>
  <si>
    <t>g metal can and solution</t>
  </si>
  <si>
    <t xml:space="preserve">1. Mass of empty metal can: </t>
  </si>
  <si>
    <t xml:space="preserve">2. Volume of salt &amp; sugar solution: </t>
  </si>
  <si>
    <r>
      <t>3. Mass of metal can with the salt &amp; sugar solution:</t>
    </r>
    <r>
      <rPr>
        <sz val="11"/>
        <color rgb="FFFF0000"/>
        <rFont val="Calibri"/>
        <family val="2"/>
        <scheme val="minor"/>
      </rPr>
      <t/>
    </r>
  </si>
  <si>
    <t xml:space="preserve">4. Mass of salt &amp; sugar solution (calculated): </t>
  </si>
  <si>
    <t>5. First mass of metal can with the dry salt &amp; sugar residue:</t>
  </si>
  <si>
    <t xml:space="preserve">6. Final mass of metal can with the dry salt &amp; sugar residue: </t>
  </si>
  <si>
    <t xml:space="preserve">7. Mass of salt &amp; sugar residue (calculated). </t>
  </si>
  <si>
    <t>10. Divide salt &amp; sugar residue mass by solution mass and report TDS as ppm:</t>
  </si>
  <si>
    <t>11. Divide salt &amp; sugar residue mass by solution volume and report TDS as mg per liter:</t>
  </si>
  <si>
    <t>mL H2O2</t>
  </si>
  <si>
    <t>g</t>
  </si>
  <si>
    <t>mole</t>
  </si>
  <si>
    <t>mL of gas</t>
  </si>
  <si>
    <t>Lab 5</t>
  </si>
  <si>
    <t>Number of flakes</t>
  </si>
  <si>
    <t>Mass of gold mixture</t>
  </si>
  <si>
    <t>Volume of gold mixture</t>
  </si>
  <si>
    <t xml:space="preserve">gold's % w/w </t>
  </si>
  <si>
    <t>% w/w</t>
  </si>
  <si>
    <t>100 lbs of above mixture</t>
  </si>
  <si>
    <t>lb</t>
  </si>
  <si>
    <t>g gold</t>
  </si>
  <si>
    <t>g mixture</t>
  </si>
  <si>
    <t>lb mixture</t>
  </si>
  <si>
    <t>=</t>
  </si>
  <si>
    <t>troy oz of gold</t>
  </si>
  <si>
    <t>troy oz</t>
  </si>
  <si>
    <t>value of gold</t>
  </si>
  <si>
    <t>dollars</t>
  </si>
  <si>
    <t>assumes current value is $1650 per troy oz.  Student rounds to one significant figure</t>
  </si>
  <si>
    <t>5 gallons of above mixture</t>
  </si>
  <si>
    <t>Gold's % w/v</t>
  </si>
  <si>
    <t>% w/v</t>
  </si>
  <si>
    <t>gal</t>
  </si>
  <si>
    <t>Gold's value</t>
  </si>
  <si>
    <t>Lab 5 Post lab</t>
  </si>
  <si>
    <t>Mixture mass:</t>
  </si>
  <si>
    <t>Evaporating dish:</t>
  </si>
  <si>
    <t>Evaporating dish + salt (after water was evaporated): </t>
  </si>
  <si>
    <t>% w/w salt</t>
  </si>
  <si>
    <t>Mixture sand &amp; KBr</t>
  </si>
  <si>
    <t>Sand mass</t>
  </si>
  <si>
    <t>% w/w KBr</t>
  </si>
  <si>
    <t>8.000 grams in a gallon. Change to % w/v</t>
  </si>
  <si>
    <t>gallon</t>
  </si>
  <si>
    <t>mL blood</t>
  </si>
  <si>
    <t>mL breath</t>
  </si>
  <si>
    <t>kilowatt-hours</t>
  </si>
  <si>
    <t>kg alcohol</t>
  </si>
  <si>
    <t>g alcohol</t>
  </si>
  <si>
    <t>minute</t>
  </si>
  <si>
    <t>minutes</t>
  </si>
  <si>
    <t>hour</t>
  </si>
  <si>
    <t>Liters  breath</t>
  </si>
  <si>
    <t>milli</t>
  </si>
  <si>
    <t>watts</t>
  </si>
  <si>
    <t>#2</t>
  </si>
  <si>
    <t>#3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</si>
  <si>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</si>
  <si>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</si>
  <si>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</si>
  <si>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</si>
  <si>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</si>
  <si>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</si>
  <si>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</si>
  <si>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</si>
  <si>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</si>
  <si>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</si>
  <si>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</si>
  <si>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</si>
  <si>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</si>
  <si>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</si>
  <si>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</si>
  <si>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</si>
  <si>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</si>
  <si>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grams to moles</t>
  </si>
  <si>
    <t>Heat of solution</t>
  </si>
  <si>
    <t>joule&gt;calorie</t>
  </si>
  <si>
    <t>Specific heat</t>
  </si>
  <si>
    <t>Water to cool</t>
  </si>
  <si>
    <t>gallon to grams</t>
  </si>
  <si>
    <t>Temp drop water</t>
  </si>
  <si>
    <t>joules</t>
  </si>
  <si>
    <t>calorie</t>
  </si>
  <si>
    <t>°C·gram water</t>
  </si>
  <si>
    <t>°C drop</t>
  </si>
  <si>
    <t>gallons</t>
  </si>
  <si>
    <t>Lab 11</t>
  </si>
  <si>
    <r>
      <t>mass KNO</t>
    </r>
    <r>
      <rPr>
        <vertAlign val="subscript"/>
        <sz val="12"/>
        <color rgb="FF000000"/>
        <rFont val="Times New Roman"/>
        <family val="1"/>
      </rPr>
      <t>3</t>
    </r>
  </si>
  <si>
    <r>
      <t>mole KNO</t>
    </r>
    <r>
      <rPr>
        <vertAlign val="subscript"/>
        <sz val="12"/>
        <color rgb="FF000000"/>
        <rFont val="Times New Roman"/>
        <family val="1"/>
      </rPr>
      <t>3</t>
    </r>
  </si>
  <si>
    <r>
      <t>g KNO</t>
    </r>
    <r>
      <rPr>
        <vertAlign val="subscript"/>
        <sz val="12"/>
        <color rgb="FF000000"/>
        <rFont val="Times New Roman"/>
        <family val="1"/>
      </rPr>
      <t>3</t>
    </r>
  </si>
  <si>
    <t>converts moles Ag to grams</t>
  </si>
  <si>
    <t>2 drops</t>
  </si>
  <si>
    <t>cancel m</t>
  </si>
  <si>
    <t>Liter</t>
  </si>
  <si>
    <r>
      <t>0.1 M AgNO</t>
    </r>
    <r>
      <rPr>
        <vertAlign val="subscript"/>
        <sz val="11"/>
        <color rgb="FF000000"/>
        <rFont val="Times New Roman"/>
        <family val="1"/>
      </rPr>
      <t>3</t>
    </r>
  </si>
  <si>
    <r>
      <t>1 Ag in AgNO</t>
    </r>
    <r>
      <rPr>
        <vertAlign val="subscript"/>
        <sz val="11"/>
        <color rgb="FF000000"/>
        <rFont val="Times New Roman"/>
        <family val="1"/>
      </rPr>
      <t>3</t>
    </r>
  </si>
  <si>
    <r>
      <t>g Ag</t>
    </r>
    <r>
      <rPr>
        <vertAlign val="superscript"/>
        <sz val="11"/>
        <color rgb="FF000000"/>
        <rFont val="Times New Roman"/>
        <family val="1"/>
      </rPr>
      <t>+</t>
    </r>
    <r>
      <rPr>
        <sz val="11"/>
        <color rgb="FF000000"/>
        <rFont val="Times New Roman"/>
        <family val="1"/>
      </rPr>
      <t> in 2 drops 0.1M AgNO</t>
    </r>
    <r>
      <rPr>
        <vertAlign val="subscript"/>
        <sz val="11"/>
        <color rgb="FF000000"/>
        <rFont val="Times New Roman"/>
        <family val="1"/>
      </rPr>
      <t>3</t>
    </r>
  </si>
  <si>
    <r>
      <t>moles AgNO</t>
    </r>
    <r>
      <rPr>
        <vertAlign val="subscript"/>
        <sz val="11"/>
        <color rgb="FF000000"/>
        <rFont val="Times New Roman"/>
        <family val="1"/>
      </rPr>
      <t>3</t>
    </r>
  </si>
  <si>
    <r>
      <t>mole Ag</t>
    </r>
    <r>
      <rPr>
        <vertAlign val="superscript"/>
        <sz val="11"/>
        <color rgb="FF000000"/>
        <rFont val="Times New Roman"/>
        <family val="1"/>
      </rPr>
      <t>+</t>
    </r>
  </si>
  <si>
    <r>
      <t>gram Ag</t>
    </r>
    <r>
      <rPr>
        <vertAlign val="superscript"/>
        <sz val="11"/>
        <color rgb="FF000000"/>
        <rFont val="Times New Roman"/>
        <family val="1"/>
      </rPr>
      <t>+</t>
    </r>
  </si>
  <si>
    <r>
      <t>grams Ag</t>
    </r>
    <r>
      <rPr>
        <vertAlign val="superscript"/>
        <sz val="11"/>
        <color rgb="FF000000"/>
        <rFont val="Times New Roman"/>
        <family val="1"/>
      </rPr>
      <t>+</t>
    </r>
  </si>
  <si>
    <r>
      <t>mole AgNO</t>
    </r>
    <r>
      <rPr>
        <vertAlign val="subscript"/>
        <sz val="11"/>
        <color rgb="FF000000"/>
        <rFont val="Times New Roman"/>
        <family val="1"/>
      </rPr>
      <t>3</t>
    </r>
  </si>
  <si>
    <t>Lab 3</t>
  </si>
  <si>
    <t>Mass of diamond shaped mineral</t>
  </si>
  <si>
    <t>Initial volume</t>
  </si>
  <si>
    <t>Final volume</t>
  </si>
  <si>
    <t>5. Density</t>
  </si>
  <si>
    <t>Volume increase</t>
  </si>
  <si>
    <t>g/mL</t>
  </si>
  <si>
    <t>Mass of gold colored mineral</t>
  </si>
  <si>
    <t>D. Unknow liquid A</t>
  </si>
  <si>
    <t>Mass of the liquid in A</t>
  </si>
  <si>
    <t>Volume</t>
  </si>
  <si>
    <t>3. Density of Liquid 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</si>
</sst>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6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vertAlign val="subscript"/>
      <sz val="12"/>
      <color rgb="FF000000"/>
      <name val="Times New Roman"/>
      <family val="1"/>
    </font>
    <font>
      <sz val="11"/>
      <color rgb="FF000000"/>
      <name val="Times New Roman"/>
      <family val="1"/>
    </font>
    <font>
      <vertAlign val="subscript"/>
      <sz val="11"/>
      <color rgb="FF000000"/>
      <name val="Times New Roman"/>
      <family val="1"/>
    </font>
    <font>
      <vertAlign val="superscript"/>
      <sz val="11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5FF95"/>
        <bgColor indexed="64"/>
      </patternFill>
    </fill>
    <fill>
      <patternFill patternType="solid">
        <fgColor rgb="FFFFFF66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Alignme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quotePrefix="1"/>
    <xf numFmtId="0" fontId="5" fillId="0" borderId="0" xfId="0" applyFont="1"/>
    <xf numFmtId="0" fontId="6" fillId="0" borderId="0" xfId="0" applyFont="1"/>
    <xf numFmtId="0" fontId="2" fillId="5" borderId="2" xfId="0" applyFont="1" applyFill="1" applyBorder="1" applyAlignment="1">
      <alignment horizontal="center"/>
    </xf>
    <xf numFmtId="0" fontId="2" fillId="5" borderId="6" xfId="0" applyFont="1" applyFill="1" applyBorder="1"/>
    <xf numFmtId="0" fontId="4" fillId="5" borderId="3" xfId="0" applyFont="1" applyFill="1" applyBorder="1" applyAlignment="1">
      <alignment horizontal="center"/>
    </xf>
    <xf numFmtId="0" fontId="2" fillId="5" borderId="7" xfId="0" applyFont="1" applyFill="1" applyBorder="1"/>
    <xf numFmtId="0" fontId="4" fillId="5" borderId="1" xfId="0" applyFont="1" applyFill="1" applyBorder="1"/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right" wrapText="1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right"/>
    </xf>
    <xf numFmtId="0" fontId="0" fillId="5" borderId="2" xfId="0" applyFont="1" applyFill="1" applyBorder="1" applyAlignment="1">
      <alignment horizontal="center" wrapText="1"/>
    </xf>
    <xf numFmtId="0" fontId="0" fillId="5" borderId="6" xfId="0" applyFont="1" applyFill="1" applyBorder="1"/>
    <xf numFmtId="0" fontId="8" fillId="5" borderId="3" xfId="0" applyFont="1" applyFill="1" applyBorder="1" applyAlignment="1">
      <alignment horizontal="center" wrapText="1"/>
    </xf>
    <xf numFmtId="0" fontId="0" fillId="5" borderId="7" xfId="0" applyFont="1" applyFill="1" applyBorder="1"/>
    <xf numFmtId="0" fontId="8" fillId="6" borderId="1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wrapText="1"/>
    </xf>
    <xf numFmtId="0" fontId="8" fillId="6" borderId="1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right" wrapText="1"/>
    </xf>
    <xf numFmtId="0" fontId="8" fillId="6" borderId="1" xfId="0" applyFont="1" applyFill="1" applyBorder="1"/>
    <xf numFmtId="0" fontId="8" fillId="7" borderId="1" xfId="0" applyFont="1" applyFill="1" applyBorder="1" applyAlignment="1">
      <alignment horizontal="center"/>
    </xf>
    <xf numFmtId="0" fontId="8" fillId="7" borderId="1" xfId="0" applyFont="1" applyFill="1" applyBorder="1"/>
    <xf numFmtId="0" fontId="8" fillId="8" borderId="1" xfId="0" applyFont="1" applyFill="1" applyBorder="1" applyAlignment="1">
      <alignment horizontal="right" wrapText="1"/>
    </xf>
    <xf numFmtId="0" fontId="8" fillId="8" borderId="1" xfId="0" applyFont="1" applyFill="1" applyBorder="1" applyAlignment="1">
      <alignment wrapText="1"/>
    </xf>
    <xf numFmtId="0" fontId="8" fillId="9" borderId="1" xfId="0" applyFont="1" applyFill="1" applyBorder="1" applyAlignment="1">
      <alignment horizontal="right" wrapText="1"/>
    </xf>
    <xf numFmtId="0" fontId="8" fillId="9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center" wrapText="1"/>
    </xf>
    <xf numFmtId="0" fontId="8" fillId="12" borderId="1" xfId="0" applyFont="1" applyFill="1" applyBorder="1" applyAlignment="1">
      <alignment horizontal="right" wrapText="1"/>
    </xf>
    <xf numFmtId="0" fontId="8" fillId="11" borderId="1" xfId="0" applyFont="1" applyFill="1" applyBorder="1" applyAlignment="1">
      <alignment wrapText="1"/>
    </xf>
    <xf numFmtId="0" fontId="8" fillId="8" borderId="1" xfId="0" applyFont="1" applyFill="1" applyBorder="1" applyAlignment="1">
      <alignment horizontal="right"/>
    </xf>
    <xf numFmtId="0" fontId="8" fillId="8" borderId="1" xfId="0" applyFont="1" applyFill="1" applyBorder="1"/>
    <xf numFmtId="0" fontId="8" fillId="5" borderId="2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 wrapText="1"/>
    </xf>
    <xf numFmtId="0" fontId="8" fillId="9" borderId="4" xfId="0" applyFont="1" applyFill="1" applyBorder="1" applyAlignment="1">
      <alignment horizontal="center" wrapText="1"/>
    </xf>
    <xf numFmtId="0" fontId="8" fillId="9" borderId="5" xfId="0" applyFont="1" applyFill="1" applyBorder="1" applyAlignment="1">
      <alignment horizontal="center" wrapText="1"/>
    </xf>
    <xf numFmtId="0" fontId="8" fillId="11" borderId="4" xfId="0" applyFont="1" applyFill="1" applyBorder="1" applyAlignment="1">
      <alignment horizontal="center"/>
    </xf>
    <xf numFmtId="0" fontId="8" fillId="11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CCFFCC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165"/>
  <sheetViews>
    <sheetView tabSelected="1" topLeftCell="B89" workbookViewId="0">
      <selection activeCell="H99" sqref="H99"/>
    </sheetView>
  </sheetViews>
  <sheetFormatPr defaultRowHeight="15.6"/>
  <cols>
    <col min="2" max="2" width="24" style="1" customWidth="1"/>
    <col min="3" max="3" width="8.88671875" customWidth="1"/>
    <col min="7" max="7" width="8.5546875" customWidth="1"/>
    <col min="8" max="8" width="12.88671875" customWidth="1"/>
    <col min="10" max="10" width="11.21875" customWidth="1"/>
    <col min="14" max="14" width="10.5546875" bestFit="1" customWidth="1"/>
    <col min="19" max="19" width="12.6640625" bestFit="1" customWidth="1"/>
  </cols>
  <sheetData>
    <row r="2" spans="2:5">
      <c r="B2" s="1" t="s">
        <v>0</v>
      </c>
    </row>
    <row r="4" spans="2:5" ht="22.8" customHeight="1">
      <c r="B4" s="2" t="s">
        <v>57</v>
      </c>
    </row>
    <row r="5" spans="2:5">
      <c r="B5" s="3" t="s">
        <v>1</v>
      </c>
    </row>
    <row r="6" spans="2:5">
      <c r="B6" s="4"/>
      <c r="C6" s="6">
        <v>9.5</v>
      </c>
      <c r="D6" s="6">
        <v>6.1</v>
      </c>
      <c r="E6" s="6">
        <v>2.8</v>
      </c>
    </row>
    <row r="7" spans="2:5">
      <c r="B7" s="3" t="s">
        <v>2</v>
      </c>
    </row>
    <row r="8" spans="2:5">
      <c r="B8" s="4"/>
      <c r="C8" s="5">
        <f>C6*D6*E6</f>
        <v>162.26</v>
      </c>
    </row>
    <row r="9" spans="2:5">
      <c r="B9" s="2" t="s">
        <v>58</v>
      </c>
    </row>
    <row r="10" spans="2:5">
      <c r="B10" s="3" t="s">
        <v>56</v>
      </c>
    </row>
    <row r="11" spans="2:5">
      <c r="B11" s="4"/>
      <c r="C11" s="6">
        <v>1.4</v>
      </c>
      <c r="D11" t="s">
        <v>25</v>
      </c>
    </row>
    <row r="12" spans="2:5">
      <c r="B12" s="3" t="s">
        <v>55</v>
      </c>
    </row>
    <row r="13" spans="2:5">
      <c r="B13" s="4"/>
      <c r="C13" s="6">
        <v>19.05</v>
      </c>
      <c r="D13" t="s">
        <v>24</v>
      </c>
    </row>
    <row r="14" spans="2:5">
      <c r="B14" s="3" t="s">
        <v>54</v>
      </c>
    </row>
    <row r="15" spans="2:5">
      <c r="B15" s="4"/>
      <c r="C15" s="5">
        <f>PI()*(C11^2)*C13</f>
        <v>117.30078649973568</v>
      </c>
      <c r="D15" t="s">
        <v>26</v>
      </c>
    </row>
    <row r="16" spans="2:5">
      <c r="B16" s="1" t="s">
        <v>53</v>
      </c>
    </row>
    <row r="17" spans="2:6">
      <c r="B17" s="4"/>
      <c r="C17" s="5">
        <f>C15/29.57</f>
        <v>3.9668849002277877</v>
      </c>
      <c r="D17" t="s">
        <v>59</v>
      </c>
      <c r="F17">
        <f>24.3/29.57</f>
        <v>0.82177882989516404</v>
      </c>
    </row>
    <row r="18" spans="2:6">
      <c r="B18" s="4"/>
    </row>
    <row r="19" spans="2:6">
      <c r="B19" s="1" t="s">
        <v>60</v>
      </c>
    </row>
    <row r="20" spans="2:6">
      <c r="B20" s="4"/>
      <c r="C20" s="6">
        <v>32.5</v>
      </c>
      <c r="D20" t="s">
        <v>62</v>
      </c>
    </row>
    <row r="21" spans="2:6">
      <c r="B21" s="1" t="s">
        <v>61</v>
      </c>
    </row>
    <row r="22" spans="2:6">
      <c r="B22" s="4"/>
      <c r="C22" s="6">
        <v>49</v>
      </c>
      <c r="D22" t="s">
        <v>62</v>
      </c>
    </row>
    <row r="23" spans="2:6">
      <c r="B23" s="1" t="s">
        <v>63</v>
      </c>
    </row>
    <row r="24" spans="2:6">
      <c r="B24" s="4"/>
      <c r="C24" s="5">
        <f>1/3*PI()*C20^2*C22/1000</f>
        <v>54.199018259118901</v>
      </c>
      <c r="D24" t="s">
        <v>66</v>
      </c>
    </row>
    <row r="25" spans="2:6">
      <c r="B25" s="4"/>
    </row>
    <row r="26" spans="2:6">
      <c r="B26" s="2" t="s">
        <v>3</v>
      </c>
    </row>
    <row r="27" spans="2:6">
      <c r="B27" s="3" t="s">
        <v>4</v>
      </c>
    </row>
    <row r="28" spans="2:6">
      <c r="B28" s="4"/>
      <c r="D28" t="s">
        <v>27</v>
      </c>
    </row>
    <row r="29" spans="2:6">
      <c r="B29" s="2" t="s">
        <v>5</v>
      </c>
    </row>
    <row r="30" spans="2:6">
      <c r="B30" s="3" t="s">
        <v>6</v>
      </c>
    </row>
    <row r="31" spans="2:6">
      <c r="B31" s="4"/>
      <c r="D31" t="s">
        <v>28</v>
      </c>
    </row>
    <row r="32" spans="2:6">
      <c r="B32" s="2" t="s">
        <v>7</v>
      </c>
    </row>
    <row r="33" spans="2:6">
      <c r="B33" s="3" t="s">
        <v>8</v>
      </c>
    </row>
    <row r="34" spans="2:6">
      <c r="B34" s="3" t="s">
        <v>9</v>
      </c>
    </row>
    <row r="35" spans="2:6">
      <c r="B35" s="3" t="s">
        <v>10</v>
      </c>
    </row>
    <row r="36" spans="2:6">
      <c r="B36" s="3" t="s">
        <v>11</v>
      </c>
    </row>
    <row r="37" spans="2:6">
      <c r="B37" s="3" t="s">
        <v>12</v>
      </c>
    </row>
    <row r="38" spans="2:6">
      <c r="B38" s="3" t="s">
        <v>13</v>
      </c>
    </row>
    <row r="39" spans="2:6">
      <c r="B39" s="3" t="s">
        <v>14</v>
      </c>
    </row>
    <row r="40" spans="2:6">
      <c r="B40" s="4"/>
    </row>
    <row r="41" spans="2:6">
      <c r="B41" s="3" t="s">
        <v>15</v>
      </c>
      <c r="E41" s="6">
        <v>13.15</v>
      </c>
    </row>
    <row r="42" spans="2:6">
      <c r="B42" s="3" t="s">
        <v>16</v>
      </c>
      <c r="F42" s="5">
        <f>E41/5</f>
        <v>2.63</v>
      </c>
    </row>
    <row r="43" spans="2:6">
      <c r="B43" s="4"/>
    </row>
    <row r="44" spans="2:6">
      <c r="B44" s="2" t="s">
        <v>17</v>
      </c>
    </row>
    <row r="45" spans="2:6">
      <c r="B45" s="3" t="s">
        <v>18</v>
      </c>
    </row>
    <row r="46" spans="2:6">
      <c r="B46" s="3" t="s">
        <v>19</v>
      </c>
    </row>
    <row r="47" spans="2:6">
      <c r="B47" s="3" t="s">
        <v>20</v>
      </c>
    </row>
    <row r="48" spans="2:6">
      <c r="B48" s="4"/>
    </row>
    <row r="49" spans="2:10">
      <c r="B49" s="2" t="s">
        <v>21</v>
      </c>
    </row>
    <row r="50" spans="2:10">
      <c r="B50" s="3" t="s">
        <v>22</v>
      </c>
      <c r="E50" s="6">
        <v>26.2</v>
      </c>
      <c r="F50" t="s">
        <v>65</v>
      </c>
      <c r="G50" s="7">
        <f>E50*9/5+32</f>
        <v>79.16</v>
      </c>
      <c r="H50" t="s">
        <v>64</v>
      </c>
    </row>
    <row r="51" spans="2:10">
      <c r="B51" s="3" t="s">
        <v>23</v>
      </c>
      <c r="E51" s="6">
        <v>23</v>
      </c>
      <c r="F51" t="s">
        <v>65</v>
      </c>
      <c r="G51" s="7">
        <f>E51*9/5+32</f>
        <v>73.400000000000006</v>
      </c>
      <c r="H51" t="s">
        <v>64</v>
      </c>
    </row>
    <row r="52" spans="2:10">
      <c r="B52" s="3" t="s">
        <v>29</v>
      </c>
      <c r="E52" s="6">
        <v>37</v>
      </c>
      <c r="F52" t="s">
        <v>65</v>
      </c>
      <c r="G52" s="7">
        <f>E52*9/5+32</f>
        <v>98.6</v>
      </c>
      <c r="H52" t="s">
        <v>64</v>
      </c>
    </row>
    <row r="55" spans="2:10">
      <c r="B55" s="10" t="s">
        <v>30</v>
      </c>
    </row>
    <row r="56" spans="2:10" ht="14.4">
      <c r="B56" t="s">
        <v>31</v>
      </c>
    </row>
    <row r="57" spans="2:10" ht="14.4">
      <c r="B57"/>
    </row>
    <row r="58" spans="2:10" ht="14.4">
      <c r="B58" t="s">
        <v>32</v>
      </c>
      <c r="F58" s="6">
        <v>17</v>
      </c>
      <c r="G58" t="s">
        <v>49</v>
      </c>
    </row>
    <row r="59" spans="2:10" ht="14.4">
      <c r="B59" t="s">
        <v>33</v>
      </c>
      <c r="F59" s="6">
        <v>357</v>
      </c>
      <c r="G59" t="s">
        <v>50</v>
      </c>
    </row>
    <row r="60" spans="2:10" ht="14.4">
      <c r="B60" t="s">
        <v>34</v>
      </c>
      <c r="I60" s="7">
        <f>F59-(F58-25)*1.9*F59/100</f>
        <v>411.26400000000001</v>
      </c>
      <c r="J60">
        <f>(25-F58)*0.019*F59</f>
        <v>54.263999999999996</v>
      </c>
    </row>
    <row r="61" spans="2:10" ht="14.4">
      <c r="B61"/>
    </row>
    <row r="62" spans="2:10" ht="14.4">
      <c r="B62" t="s">
        <v>35</v>
      </c>
    </row>
    <row r="63" spans="2:10" ht="14.4">
      <c r="B63"/>
    </row>
    <row r="64" spans="2:10" ht="14.4">
      <c r="B64" t="s">
        <v>36</v>
      </c>
    </row>
    <row r="65" spans="2:10" ht="14.4">
      <c r="B65" t="s">
        <v>37</v>
      </c>
    </row>
    <row r="66" spans="2:10" ht="14.4">
      <c r="B66" t="s">
        <v>38</v>
      </c>
      <c r="F66" s="6">
        <v>10</v>
      </c>
      <c r="G66" t="s">
        <v>65</v>
      </c>
    </row>
    <row r="67" spans="2:10" ht="14.4">
      <c r="B67" t="s">
        <v>39</v>
      </c>
      <c r="F67" s="6">
        <v>817</v>
      </c>
      <c r="G67" t="s">
        <v>50</v>
      </c>
    </row>
    <row r="68" spans="2:10" ht="14.4">
      <c r="B68" t="s">
        <v>40</v>
      </c>
      <c r="I68" s="7">
        <f>F67-(F66-25)*1.9*F67/100</f>
        <v>1049.845</v>
      </c>
      <c r="J68">
        <f>(25-F66)*0.019*F67</f>
        <v>232.84499999999997</v>
      </c>
    </row>
    <row r="69" spans="2:10" ht="14.4">
      <c r="B69" t="s">
        <v>41</v>
      </c>
    </row>
    <row r="70" spans="2:10" ht="14.4">
      <c r="B70"/>
    </row>
    <row r="71" spans="2:10" ht="14.4">
      <c r="B71" t="s">
        <v>42</v>
      </c>
    </row>
    <row r="72" spans="2:10" ht="14.4">
      <c r="B72" t="s">
        <v>43</v>
      </c>
      <c r="F72" s="6">
        <v>20.5</v>
      </c>
      <c r="G72" t="s">
        <v>65</v>
      </c>
    </row>
    <row r="73" spans="2:10" ht="14.4">
      <c r="B73" t="s">
        <v>44</v>
      </c>
      <c r="F73" s="6">
        <v>508</v>
      </c>
      <c r="G73" t="s">
        <v>50</v>
      </c>
    </row>
    <row r="74" spans="2:10" ht="14.4">
      <c r="B74" t="s">
        <v>45</v>
      </c>
      <c r="H74" s="7">
        <f>F73-(F72-25)*1.9*F73/100</f>
        <v>551.43399999999997</v>
      </c>
      <c r="I74" t="s">
        <v>67</v>
      </c>
      <c r="J74">
        <f>(25-F72)*0.019*F73</f>
        <v>43.433999999999997</v>
      </c>
    </row>
    <row r="75" spans="2:10" ht="14.4">
      <c r="B75"/>
    </row>
    <row r="76" spans="2:10" ht="14.4">
      <c r="B76" t="s">
        <v>46</v>
      </c>
    </row>
    <row r="77" spans="2:10" ht="14.4">
      <c r="B77" t="s">
        <v>72</v>
      </c>
      <c r="F77" s="6">
        <v>11.42</v>
      </c>
      <c r="G77" t="s">
        <v>69</v>
      </c>
    </row>
    <row r="78" spans="2:10" ht="14.4">
      <c r="B78" t="s">
        <v>73</v>
      </c>
      <c r="F78" s="6">
        <v>42.3</v>
      </c>
      <c r="G78" t="s">
        <v>70</v>
      </c>
    </row>
    <row r="79" spans="2:10" ht="14.4">
      <c r="B79" t="s">
        <v>74</v>
      </c>
      <c r="F79" s="6">
        <v>53.8</v>
      </c>
      <c r="G79" t="s">
        <v>71</v>
      </c>
    </row>
    <row r="80" spans="2:10" ht="14.4">
      <c r="B80" t="s">
        <v>75</v>
      </c>
      <c r="F80" s="5">
        <f>F79-F77</f>
        <v>42.379999999999995</v>
      </c>
      <c r="G80" t="s">
        <v>52</v>
      </c>
    </row>
    <row r="81" spans="2:11" ht="14.4">
      <c r="B81" t="s">
        <v>76</v>
      </c>
    </row>
    <row r="82" spans="2:11" ht="14.4">
      <c r="B82" t="s">
        <v>77</v>
      </c>
      <c r="G82" s="6">
        <v>12.15</v>
      </c>
      <c r="H82" t="s">
        <v>68</v>
      </c>
      <c r="K82">
        <f>1.28/47.73*1000000</f>
        <v>26817.515189608213</v>
      </c>
    </row>
    <row r="83" spans="2:11" ht="14.4">
      <c r="B83" t="s">
        <v>78</v>
      </c>
      <c r="F83" s="5">
        <f>G82-F77</f>
        <v>0.73000000000000043</v>
      </c>
      <c r="G83" t="s">
        <v>51</v>
      </c>
    </row>
    <row r="84" spans="2:11" ht="14.4">
      <c r="B84" t="s">
        <v>47</v>
      </c>
    </row>
    <row r="85" spans="2:11" ht="14.4">
      <c r="B85" t="s">
        <v>48</v>
      </c>
    </row>
    <row r="86" spans="2:11" ht="14.4">
      <c r="B86" t="s">
        <v>79</v>
      </c>
      <c r="I86" s="5">
        <f>F83/F80*1000000</f>
        <v>17225.106182161409</v>
      </c>
    </row>
    <row r="87" spans="2:11" ht="14.4">
      <c r="B87" t="s">
        <v>80</v>
      </c>
      <c r="I87" s="5">
        <f>F83/F78*1000000</f>
        <v>17257.683215130033</v>
      </c>
      <c r="J87">
        <f>1.11/F78</f>
        <v>2.6241134751773053E-2</v>
      </c>
    </row>
    <row r="90" spans="2:11">
      <c r="B90" s="1">
        <v>25</v>
      </c>
      <c r="C90" t="s">
        <v>81</v>
      </c>
      <c r="D90">
        <v>3</v>
      </c>
      <c r="E90" t="s">
        <v>82</v>
      </c>
      <c r="F90">
        <v>1</v>
      </c>
      <c r="G90" t="s">
        <v>83</v>
      </c>
      <c r="H90">
        <v>22400</v>
      </c>
      <c r="I90" t="s">
        <v>70</v>
      </c>
      <c r="J90">
        <f>B90*D90/D91*H90/F91</f>
        <v>494.11764705882354</v>
      </c>
      <c r="K90" t="s">
        <v>84</v>
      </c>
    </row>
    <row r="91" spans="2:11">
      <c r="D91">
        <v>100</v>
      </c>
      <c r="E91" t="s">
        <v>70</v>
      </c>
      <c r="F91">
        <v>34</v>
      </c>
      <c r="G91" t="s">
        <v>82</v>
      </c>
      <c r="H91">
        <v>1</v>
      </c>
      <c r="I91" t="s">
        <v>83</v>
      </c>
    </row>
    <row r="93" spans="2:11">
      <c r="B93" s="1" t="s">
        <v>175</v>
      </c>
    </row>
    <row r="94" spans="2:11">
      <c r="B94" s="1" t="s">
        <v>176</v>
      </c>
      <c r="D94" s="6">
        <v>4.63</v>
      </c>
      <c r="E94" t="s">
        <v>82</v>
      </c>
    </row>
    <row r="95" spans="2:11">
      <c r="B95" s="1" t="s">
        <v>177</v>
      </c>
      <c r="D95" s="6">
        <v>0.89</v>
      </c>
      <c r="E95" t="s">
        <v>70</v>
      </c>
    </row>
    <row r="96" spans="2:11">
      <c r="B96" s="1" t="s">
        <v>178</v>
      </c>
      <c r="D96" s="6">
        <v>2.2999999999999998</v>
      </c>
      <c r="E96" t="s">
        <v>70</v>
      </c>
    </row>
    <row r="97" spans="2:5">
      <c r="B97" s="1" t="s">
        <v>180</v>
      </c>
      <c r="D97" s="5">
        <f>D96-D95</f>
        <v>1.4099999999999997</v>
      </c>
      <c r="E97" t="s">
        <v>70</v>
      </c>
    </row>
    <row r="98" spans="2:5">
      <c r="B98" s="1" t="s">
        <v>179</v>
      </c>
      <c r="D98" s="5">
        <f>D94/D97</f>
        <v>3.2836879432624118</v>
      </c>
      <c r="E98" t="s">
        <v>181</v>
      </c>
    </row>
    <row r="99" spans="2:5">
      <c r="D99" s="61"/>
    </row>
    <row r="100" spans="2:5">
      <c r="B100" s="1" t="s">
        <v>182</v>
      </c>
      <c r="D100" s="6">
        <v>17.98</v>
      </c>
      <c r="E100" t="s">
        <v>82</v>
      </c>
    </row>
    <row r="101" spans="2:5">
      <c r="B101" s="1" t="s">
        <v>177</v>
      </c>
      <c r="D101" s="6">
        <v>1.6</v>
      </c>
      <c r="E101" t="s">
        <v>70</v>
      </c>
    </row>
    <row r="102" spans="2:5">
      <c r="B102" s="1" t="s">
        <v>178</v>
      </c>
      <c r="D102" s="6">
        <v>5.4</v>
      </c>
      <c r="E102" t="s">
        <v>70</v>
      </c>
    </row>
    <row r="103" spans="2:5">
      <c r="B103" s="1" t="s">
        <v>180</v>
      </c>
      <c r="D103" s="5">
        <f>D102-D101</f>
        <v>3.8000000000000003</v>
      </c>
      <c r="E103" t="s">
        <v>70</v>
      </c>
    </row>
    <row r="104" spans="2:5">
      <c r="B104" s="1" t="s">
        <v>179</v>
      </c>
      <c r="D104" s="5">
        <f>D100/D103</f>
        <v>4.7315789473684209</v>
      </c>
      <c r="E104" t="s">
        <v>181</v>
      </c>
    </row>
    <row r="106" spans="2:5">
      <c r="B106" s="1" t="s">
        <v>183</v>
      </c>
    </row>
    <row r="107" spans="2:5">
      <c r="B107" s="1" t="s">
        <v>184</v>
      </c>
      <c r="D107" s="6">
        <v>7.5</v>
      </c>
      <c r="E107" t="s">
        <v>82</v>
      </c>
    </row>
    <row r="108" spans="2:5">
      <c r="B108" s="1" t="s">
        <v>185</v>
      </c>
      <c r="D108" s="6">
        <v>5.8</v>
      </c>
      <c r="E108" t="s">
        <v>70</v>
      </c>
    </row>
    <row r="109" spans="2:5">
      <c r="B109" s="1" t="s">
        <v>186</v>
      </c>
      <c r="D109" s="5">
        <f>D107/D108</f>
        <v>1.2931034482758621</v>
      </c>
      <c r="E109" t="s">
        <v>181</v>
      </c>
    </row>
    <row r="115" spans="2:14">
      <c r="B115" s="1" t="s">
        <v>85</v>
      </c>
    </row>
    <row r="116" spans="2:14">
      <c r="B116" s="1" t="s">
        <v>87</v>
      </c>
      <c r="C116" s="6">
        <v>9.32</v>
      </c>
      <c r="D116" t="s">
        <v>82</v>
      </c>
    </row>
    <row r="117" spans="2:14">
      <c r="B117" s="1" t="s">
        <v>88</v>
      </c>
      <c r="C117" s="6">
        <v>4.92</v>
      </c>
      <c r="D117" t="s">
        <v>70</v>
      </c>
    </row>
    <row r="118" spans="2:14">
      <c r="B118" s="1" t="s">
        <v>86</v>
      </c>
      <c r="C118" s="6">
        <v>3</v>
      </c>
    </row>
    <row r="119" spans="2:14">
      <c r="B119" s="1" t="s">
        <v>89</v>
      </c>
      <c r="C119" s="7">
        <f>C118*0.005/C116*100</f>
        <v>0.1609442060085837</v>
      </c>
      <c r="D119" t="s">
        <v>90</v>
      </c>
    </row>
    <row r="121" spans="2:14">
      <c r="B121" s="1" t="s">
        <v>91</v>
      </c>
      <c r="E121">
        <v>100</v>
      </c>
      <c r="F121" t="s">
        <v>95</v>
      </c>
      <c r="G121">
        <v>14.58</v>
      </c>
      <c r="H121" t="s">
        <v>98</v>
      </c>
      <c r="I121">
        <f>C119</f>
        <v>0.1609442060085837</v>
      </c>
      <c r="J121" t="s">
        <v>93</v>
      </c>
      <c r="K121" s="8" t="s">
        <v>96</v>
      </c>
      <c r="L121">
        <f>E121*G121*I121/I122</f>
        <v>2.3465665236051505</v>
      </c>
      <c r="M121" t="s">
        <v>98</v>
      </c>
    </row>
    <row r="122" spans="2:14">
      <c r="B122" s="1" t="s">
        <v>97</v>
      </c>
      <c r="C122" s="5">
        <f>C119*100*14.58/100</f>
        <v>2.3465665236051505</v>
      </c>
      <c r="D122" t="s">
        <v>98</v>
      </c>
      <c r="G122">
        <v>1</v>
      </c>
      <c r="H122" t="s">
        <v>92</v>
      </c>
      <c r="I122">
        <v>100</v>
      </c>
      <c r="J122" t="s">
        <v>94</v>
      </c>
    </row>
    <row r="123" spans="2:14">
      <c r="B123" s="1" t="s">
        <v>99</v>
      </c>
      <c r="C123">
        <f>C122*1650</f>
        <v>3871.8347639484982</v>
      </c>
      <c r="D123" t="s">
        <v>100</v>
      </c>
      <c r="E123" t="s">
        <v>101</v>
      </c>
    </row>
    <row r="125" spans="2:14">
      <c r="B125" s="1" t="s">
        <v>102</v>
      </c>
    </row>
    <row r="126" spans="2:14">
      <c r="B126" s="1" t="s">
        <v>103</v>
      </c>
      <c r="C126" s="5">
        <f>C118*0.005/C117*100</f>
        <v>0.3048780487804878</v>
      </c>
      <c r="D126" t="s">
        <v>104</v>
      </c>
      <c r="E126" s="5">
        <f>C118*0.005</f>
        <v>1.4999999999999999E-2</v>
      </c>
      <c r="F126" t="s">
        <v>93</v>
      </c>
      <c r="G126">
        <v>100</v>
      </c>
      <c r="H126" s="8" t="s">
        <v>96</v>
      </c>
      <c r="I126" s="5">
        <f>E126/E127*G126</f>
        <v>0.3048780487804878</v>
      </c>
      <c r="J126" t="s">
        <v>104</v>
      </c>
      <c r="N126">
        <f>0.03/5.05</f>
        <v>5.9405940594059407E-3</v>
      </c>
    </row>
    <row r="127" spans="2:14">
      <c r="E127" s="5">
        <f>C117</f>
        <v>4.92</v>
      </c>
      <c r="F127" t="s">
        <v>70</v>
      </c>
      <c r="G127">
        <v>100</v>
      </c>
    </row>
    <row r="129" spans="1:14">
      <c r="B129" s="1" t="s">
        <v>106</v>
      </c>
      <c r="C129" s="5">
        <f>E129*G129*I129/I130/K130*M129</f>
        <v>3125.8602653746625</v>
      </c>
      <c r="D129" t="s">
        <v>100</v>
      </c>
      <c r="E129">
        <v>5</v>
      </c>
      <c r="F129" t="s">
        <v>105</v>
      </c>
      <c r="G129">
        <v>3785</v>
      </c>
      <c r="H129" t="s">
        <v>70</v>
      </c>
      <c r="I129">
        <f>I126</f>
        <v>0.3048780487804878</v>
      </c>
      <c r="J129" t="s">
        <v>82</v>
      </c>
      <c r="K129" s="8">
        <v>1</v>
      </c>
      <c r="L129" t="s">
        <v>98</v>
      </c>
      <c r="M129">
        <v>1680</v>
      </c>
      <c r="N129" t="s">
        <v>100</v>
      </c>
    </row>
    <row r="130" spans="1:14">
      <c r="G130">
        <v>1</v>
      </c>
      <c r="H130" t="s">
        <v>105</v>
      </c>
      <c r="I130">
        <v>100</v>
      </c>
      <c r="J130" t="s">
        <v>70</v>
      </c>
      <c r="K130">
        <v>31.01</v>
      </c>
      <c r="L130" t="s">
        <v>69</v>
      </c>
      <c r="M130">
        <v>1</v>
      </c>
      <c r="N130" t="s">
        <v>98</v>
      </c>
    </row>
    <row r="131" spans="1:14">
      <c r="B131" s="1" t="s">
        <v>107</v>
      </c>
    </row>
    <row r="133" spans="1:14" ht="21">
      <c r="A133" t="s">
        <v>128</v>
      </c>
      <c r="B133" s="9" t="s">
        <v>108</v>
      </c>
      <c r="C133">
        <v>9.6999999999999993</v>
      </c>
      <c r="D133" t="s">
        <v>69</v>
      </c>
    </row>
    <row r="134" spans="1:14" ht="21">
      <c r="B134" s="9" t="s">
        <v>109</v>
      </c>
      <c r="C134">
        <v>25.43</v>
      </c>
      <c r="D134" t="s">
        <v>69</v>
      </c>
    </row>
    <row r="135" spans="1:14" ht="21">
      <c r="B135" s="9" t="s">
        <v>110</v>
      </c>
      <c r="H135">
        <v>28.21</v>
      </c>
      <c r="I135" t="s">
        <v>69</v>
      </c>
    </row>
    <row r="137" spans="1:14">
      <c r="B137" s="1" t="s">
        <v>111</v>
      </c>
      <c r="C137">
        <f>(H135-C134)/9.7*100</f>
        <v>28.659793814433005</v>
      </c>
    </row>
    <row r="139" spans="1:14">
      <c r="A139" t="s">
        <v>129</v>
      </c>
      <c r="B139" s="1" t="s">
        <v>112</v>
      </c>
      <c r="C139">
        <v>10</v>
      </c>
      <c r="D139" t="s">
        <v>69</v>
      </c>
    </row>
    <row r="140" spans="1:14">
      <c r="B140" s="1" t="s">
        <v>113</v>
      </c>
      <c r="C140">
        <v>3.585</v>
      </c>
      <c r="D140" t="s">
        <v>82</v>
      </c>
    </row>
    <row r="141" spans="1:14">
      <c r="B141" s="1" t="s">
        <v>114</v>
      </c>
      <c r="C141">
        <f>(C139-C140)/10*100</f>
        <v>64.149999999999991</v>
      </c>
    </row>
    <row r="143" spans="1:14">
      <c r="B143" s="1" t="s">
        <v>115</v>
      </c>
    </row>
    <row r="144" spans="1:14">
      <c r="E144">
        <v>8</v>
      </c>
      <c r="F144" t="s">
        <v>82</v>
      </c>
    </row>
    <row r="145" spans="3:20">
      <c r="E145">
        <v>1</v>
      </c>
      <c r="F145" t="s">
        <v>116</v>
      </c>
    </row>
    <row r="150" spans="3:20">
      <c r="C150">
        <v>0.2</v>
      </c>
      <c r="D150" t="s">
        <v>121</v>
      </c>
      <c r="E150">
        <v>1</v>
      </c>
      <c r="F150" t="s">
        <v>117</v>
      </c>
      <c r="G150">
        <v>8</v>
      </c>
      <c r="H150" t="s">
        <v>119</v>
      </c>
      <c r="I150">
        <v>9</v>
      </c>
      <c r="J150" t="s">
        <v>125</v>
      </c>
      <c r="K150">
        <v>60</v>
      </c>
      <c r="L150" t="s">
        <v>123</v>
      </c>
      <c r="M150" t="s">
        <v>126</v>
      </c>
      <c r="O150">
        <f>C150/C151/E151*G150*I150*K150/M151</f>
        <v>4.1142857142857148</v>
      </c>
      <c r="P150" t="s">
        <v>127</v>
      </c>
    </row>
    <row r="151" spans="3:20">
      <c r="C151">
        <v>100</v>
      </c>
      <c r="D151" t="s">
        <v>117</v>
      </c>
      <c r="E151">
        <v>2100</v>
      </c>
      <c r="F151" t="s">
        <v>118</v>
      </c>
      <c r="G151">
        <v>1</v>
      </c>
      <c r="H151" t="s">
        <v>120</v>
      </c>
      <c r="I151">
        <v>1</v>
      </c>
      <c r="J151" t="s">
        <v>122</v>
      </c>
      <c r="K151">
        <v>1</v>
      </c>
      <c r="L151" t="s">
        <v>124</v>
      </c>
      <c r="M151">
        <v>1E-3</v>
      </c>
    </row>
    <row r="153" spans="3:20">
      <c r="C153" t="s">
        <v>159</v>
      </c>
    </row>
    <row r="154" spans="3:20">
      <c r="C154" s="11"/>
      <c r="D154" s="59" t="s">
        <v>131</v>
      </c>
      <c r="E154" s="59" t="s">
        <v>132</v>
      </c>
      <c r="F154" s="59" t="s">
        <v>133</v>
      </c>
      <c r="G154" s="59" t="s">
        <v>134</v>
      </c>
      <c r="H154" s="59" t="s">
        <v>135</v>
      </c>
      <c r="I154" s="59" t="s">
        <v>136</v>
      </c>
      <c r="J154" s="59" t="s">
        <v>137</v>
      </c>
      <c r="K154" s="59" t="s">
        <v>138</v>
      </c>
      <c r="L154" s="59" t="s">
        <v>139</v>
      </c>
      <c r="M154" s="59" t="s">
        <v>140</v>
      </c>
      <c r="N154" s="59" t="s">
        <v>141</v>
      </c>
      <c r="O154" s="59" t="s">
        <v>142</v>
      </c>
      <c r="P154" s="59" t="s">
        <v>143</v>
      </c>
      <c r="Q154" s="59" t="s">
        <v>144</v>
      </c>
      <c r="R154" s="59" t="s">
        <v>145</v>
      </c>
      <c r="S154" s="59" t="s">
        <v>146</v>
      </c>
      <c r="T154" s="12"/>
    </row>
    <row r="155" spans="3:20">
      <c r="C155" s="13" t="s">
        <v>130</v>
      </c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14"/>
    </row>
    <row r="156" spans="3:20" ht="18">
      <c r="C156" s="15">
        <v>1</v>
      </c>
      <c r="D156" s="55" t="s">
        <v>160</v>
      </c>
      <c r="E156" s="56"/>
      <c r="F156" s="55" t="s">
        <v>147</v>
      </c>
      <c r="G156" s="56"/>
      <c r="H156" s="55" t="s">
        <v>148</v>
      </c>
      <c r="I156" s="56"/>
      <c r="J156" s="55" t="s">
        <v>149</v>
      </c>
      <c r="K156" s="56"/>
      <c r="L156" s="55" t="s">
        <v>150</v>
      </c>
      <c r="M156" s="56"/>
      <c r="N156" s="55" t="s">
        <v>151</v>
      </c>
      <c r="O156" s="56"/>
      <c r="P156" s="55" t="s">
        <v>152</v>
      </c>
      <c r="Q156" s="56"/>
      <c r="R156" s="15"/>
      <c r="S156" s="55" t="s">
        <v>153</v>
      </c>
      <c r="T156" s="56"/>
    </row>
    <row r="157" spans="3:20" ht="18">
      <c r="C157" s="16">
        <v>2</v>
      </c>
      <c r="D157" s="17">
        <v>50000</v>
      </c>
      <c r="E157" s="15" t="s">
        <v>69</v>
      </c>
      <c r="F157" s="18">
        <v>1</v>
      </c>
      <c r="G157" s="15" t="s">
        <v>161</v>
      </c>
      <c r="H157" s="17">
        <v>34900</v>
      </c>
      <c r="I157" s="16" t="s">
        <v>154</v>
      </c>
      <c r="J157" s="17">
        <v>1</v>
      </c>
      <c r="K157" s="16" t="s">
        <v>155</v>
      </c>
      <c r="L157" s="19">
        <v>1</v>
      </c>
      <c r="M157" s="20" t="s">
        <v>156</v>
      </c>
      <c r="N157" s="16"/>
      <c r="O157" s="16"/>
      <c r="P157" s="17">
        <v>1</v>
      </c>
      <c r="Q157" s="16" t="s">
        <v>116</v>
      </c>
      <c r="R157" s="16" t="s">
        <v>96</v>
      </c>
      <c r="S157" s="17">
        <f>D157/F158/J158/N158/P158*H157</f>
        <v>10.920232675426343</v>
      </c>
      <c r="T157" s="15" t="s">
        <v>157</v>
      </c>
    </row>
    <row r="158" spans="3:20" ht="18">
      <c r="C158" s="16">
        <v>3</v>
      </c>
      <c r="D158" s="16"/>
      <c r="E158" s="15"/>
      <c r="F158" s="15">
        <v>101</v>
      </c>
      <c r="G158" s="15" t="s">
        <v>162</v>
      </c>
      <c r="H158" s="21">
        <v>1</v>
      </c>
      <c r="I158" s="15" t="s">
        <v>161</v>
      </c>
      <c r="J158" s="17">
        <v>4.18</v>
      </c>
      <c r="K158" s="16" t="s">
        <v>154</v>
      </c>
      <c r="L158" s="19">
        <v>1</v>
      </c>
      <c r="M158" s="16" t="s">
        <v>155</v>
      </c>
      <c r="N158" s="17">
        <v>100</v>
      </c>
      <c r="O158" s="16" t="s">
        <v>158</v>
      </c>
      <c r="P158" s="17">
        <v>3785</v>
      </c>
      <c r="Q158" s="16" t="s">
        <v>69</v>
      </c>
      <c r="R158" s="16"/>
      <c r="S158" s="16"/>
      <c r="T158" s="16"/>
    </row>
    <row r="161" spans="3:15">
      <c r="C161" s="22"/>
      <c r="D161" s="57" t="s">
        <v>131</v>
      </c>
      <c r="E161" s="57" t="s">
        <v>132</v>
      </c>
      <c r="F161" s="57" t="s">
        <v>133</v>
      </c>
      <c r="G161" s="57" t="s">
        <v>134</v>
      </c>
      <c r="H161" s="57" t="s">
        <v>135</v>
      </c>
      <c r="I161" s="43" t="s">
        <v>136</v>
      </c>
      <c r="J161" s="43" t="s">
        <v>137</v>
      </c>
      <c r="K161" s="43" t="s">
        <v>138</v>
      </c>
      <c r="L161" s="43" t="s">
        <v>139</v>
      </c>
      <c r="M161" s="43" t="s">
        <v>140</v>
      </c>
      <c r="N161" s="43" t="s">
        <v>141</v>
      </c>
      <c r="O161" s="23"/>
    </row>
    <row r="162" spans="3:15">
      <c r="C162" s="24" t="s">
        <v>130</v>
      </c>
      <c r="D162" s="58"/>
      <c r="E162" s="58"/>
      <c r="F162" s="58"/>
      <c r="G162" s="58"/>
      <c r="H162" s="58"/>
      <c r="I162" s="44"/>
      <c r="J162" s="44"/>
      <c r="K162" s="44"/>
      <c r="L162" s="44"/>
      <c r="M162" s="44"/>
      <c r="N162" s="44"/>
      <c r="O162" s="25"/>
    </row>
    <row r="163" spans="3:15" ht="18">
      <c r="C163" s="26">
        <v>1</v>
      </c>
      <c r="D163" s="45" t="s">
        <v>167</v>
      </c>
      <c r="E163" s="46"/>
      <c r="F163" s="47" t="s">
        <v>168</v>
      </c>
      <c r="G163" s="48"/>
      <c r="H163" s="49" t="s">
        <v>163</v>
      </c>
      <c r="I163" s="50"/>
      <c r="J163" s="51" t="s">
        <v>164</v>
      </c>
      <c r="K163" s="52"/>
      <c r="L163" s="27" t="s">
        <v>165</v>
      </c>
      <c r="M163" s="28"/>
      <c r="N163" s="53" t="s">
        <v>169</v>
      </c>
      <c r="O163" s="54"/>
    </row>
    <row r="164" spans="3:15" ht="31.8">
      <c r="C164" s="29">
        <v>2</v>
      </c>
      <c r="D164" s="30">
        <v>0.1</v>
      </c>
      <c r="E164" s="31" t="s">
        <v>170</v>
      </c>
      <c r="F164" s="32">
        <v>1</v>
      </c>
      <c r="G164" s="33" t="s">
        <v>171</v>
      </c>
      <c r="H164" s="34">
        <v>107.87</v>
      </c>
      <c r="I164" s="35" t="s">
        <v>172</v>
      </c>
      <c r="J164" s="36">
        <v>7.0000000000000007E-2</v>
      </c>
      <c r="K164" s="37" t="s">
        <v>70</v>
      </c>
      <c r="L164" s="27">
        <v>1E-3</v>
      </c>
      <c r="M164" s="38" t="s">
        <v>96</v>
      </c>
      <c r="N164" s="39">
        <f>D164*H164*J164*L164</f>
        <v>7.5509000000000014E-4</v>
      </c>
      <c r="O164" s="40" t="s">
        <v>173</v>
      </c>
    </row>
    <row r="165" spans="3:15" ht="18">
      <c r="C165" s="29">
        <v>3</v>
      </c>
      <c r="D165" s="30">
        <v>1</v>
      </c>
      <c r="E165" s="31" t="s">
        <v>166</v>
      </c>
      <c r="F165" s="32">
        <v>1</v>
      </c>
      <c r="G165" s="33" t="s">
        <v>174</v>
      </c>
      <c r="H165" s="41">
        <v>1</v>
      </c>
      <c r="I165" s="42" t="s">
        <v>171</v>
      </c>
      <c r="J165" s="28"/>
      <c r="K165" s="28"/>
      <c r="L165" s="27" t="s">
        <v>126</v>
      </c>
      <c r="M165" s="28"/>
      <c r="N165" s="28"/>
      <c r="O165" s="28"/>
    </row>
  </sheetData>
  <mergeCells count="40">
    <mergeCell ref="I154:I155"/>
    <mergeCell ref="D154:D155"/>
    <mergeCell ref="E154:E155"/>
    <mergeCell ref="F154:F155"/>
    <mergeCell ref="G154:G155"/>
    <mergeCell ref="H154:H155"/>
    <mergeCell ref="P154:P155"/>
    <mergeCell ref="Q154:Q155"/>
    <mergeCell ref="R154:R155"/>
    <mergeCell ref="S154:S155"/>
    <mergeCell ref="D156:E156"/>
    <mergeCell ref="F156:G156"/>
    <mergeCell ref="H156:I156"/>
    <mergeCell ref="J156:K156"/>
    <mergeCell ref="L156:M156"/>
    <mergeCell ref="N156:O156"/>
    <mergeCell ref="J154:J155"/>
    <mergeCell ref="K154:K155"/>
    <mergeCell ref="L154:L155"/>
    <mergeCell ref="M154:M155"/>
    <mergeCell ref="N154:N155"/>
    <mergeCell ref="O154:O155"/>
    <mergeCell ref="P156:Q156"/>
    <mergeCell ref="S156:T156"/>
    <mergeCell ref="D161:D162"/>
    <mergeCell ref="E161:E162"/>
    <mergeCell ref="F161:F162"/>
    <mergeCell ref="G161:G162"/>
    <mergeCell ref="H161:H162"/>
    <mergeCell ref="I161:I162"/>
    <mergeCell ref="J161:J162"/>
    <mergeCell ref="K161:K162"/>
    <mergeCell ref="L161:L162"/>
    <mergeCell ref="M161:M162"/>
    <mergeCell ref="N161:N162"/>
    <mergeCell ref="D163:E163"/>
    <mergeCell ref="F163:G163"/>
    <mergeCell ref="H163:I163"/>
    <mergeCell ref="J163:K163"/>
    <mergeCell ref="N163:O16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Ken</cp:lastModifiedBy>
  <dcterms:created xsi:type="dcterms:W3CDTF">2011-09-25T04:49:00Z</dcterms:created>
  <dcterms:modified xsi:type="dcterms:W3CDTF">2012-01-16T05:57:30Z</dcterms:modified>
</cp:coreProperties>
</file>